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<sst xmlns="http://schemas.openxmlformats.org/spreadsheetml/2006/main" count="170" uniqueCount="122">
  <si>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</si>
  <si>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</si>
  <si>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</si>
  <si>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</si>
  <si>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</si>
  <si>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</si>
  <si>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</si>
  <si>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</si>
  <si>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</si>
  <si>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</si>
  <si>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</si>
  <si>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</si>
  <si>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</si>
  <si>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</si>
  <si>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</si>
  <si>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</si>
  <si>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</si>
  <si>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</si>
  <si>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</si>
  <si>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</si>
  <si>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</si>
  <si>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</si>
  <si>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</si>
  <si>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</si>
  <si>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</si>
  <si>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</si>
  <si>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</si>
  <si>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</si>
  <si>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</si>
  <si>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</si>
  <si>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</si>
  <si>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</si>
  <si>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</si>
  <si>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</si>
  <si>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</si>
  <si>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</si>
  <si>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</si>
  <si>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</si>
  <si>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</si>
  <si>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</si>
  <si>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</si>
  <si>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</si>
  <si>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</si>
  <si>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</si>
  <si>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</si>
  <si>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</si>
  <si>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</si>
  <si>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</si>
  <si>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</si>
  <si>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</si>
  <si>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</si>
  <si>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</si>
  <si>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</si>
  <si>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</si>
  <si>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</si>
  <si>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</si>
  <si>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</si>
  <si>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</si>
  <si>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</si>
  <si>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</si>
  <si>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</si>
  <si>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</si>
  <si>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</si>
  <si>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</si>
  <si>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</si>
  <si>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</si>
  <si>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</si>
  <si>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</si>
  <si>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</si>
  <si>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</si>
  <si>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</si>
  <si>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</si>
  <si>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</si>
  <si>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</si>
  <si>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</si>
  <si>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</si>
  <si>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</si>
  <si>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</si>
  <si>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</si>
  <si>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</si>
  <si>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</si>
  <si>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</si>
  <si>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</si>
  <si>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</si>
  <si>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</si>
  <si>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</si>
  <si>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</si>
  <si>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</si>
  <si>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</si>
  <si>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</si>
  <si>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</si>
  <si>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</si>
  <si>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</si>
  <si>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</si>
  <si>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</si>
  <si>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</si>
  <si>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</si>
  <si>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</si>
  <si>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</si>
  <si>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</si>
  <si>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</si>
  <si>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</si>
  <si>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</si>
  <si>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</si>
  <si>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</si>
  <si>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</si>
  <si>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</si>
  <si>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</si>
  <si>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</si>
  <si>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</si>
  <si>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</si>
  <si>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</si>
  <si>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</si>
  <si>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</si>
  <si>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</si>
  <si>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</si>
  <si>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</si>
  <si>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</si>
  <si>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</si>
  <si>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</si>
  <si>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</si>
  <si>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Аналіз використання коштів міського бюджету за 2015 рік станом на 30.09.2015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</si>
</sst>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15618180"/>
        <c:axId val="6345893"/>
      </c:bar3D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57113038"/>
        <c:axId val="44255295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62753336"/>
        <c:axId val="27909113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11757676"/>
        <c:axId val="38710221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10221"/>
        <c:crosses val="autoZero"/>
        <c:auto val="1"/>
        <c:lblOffset val="100"/>
        <c:tickLblSkip val="2"/>
        <c:noMultiLvlLbl val="0"/>
      </c:catAx>
      <c:valAx>
        <c:axId val="38710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12847670"/>
        <c:axId val="48520167"/>
      </c:bar3D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34028320"/>
        <c:axId val="37819425"/>
      </c:bar3D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4830506"/>
        <c:axId val="43474555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55726676"/>
        <c:axId val="31778037"/>
      </c:bar3D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115</v>
      </c>
      <c r="C3" s="138" t="s">
        <v>102</v>
      </c>
      <c r="D3" s="138" t="s">
        <v>28</v>
      </c>
      <c r="E3" s="138" t="s">
        <v>27</v>
      </c>
      <c r="F3" s="138" t="s">
        <v>116</v>
      </c>
      <c r="G3" s="138" t="s">
        <v>103</v>
      </c>
      <c r="H3" s="138" t="s">
        <v>117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264426.2+164+99.1</f>
        <v>264689.3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</f>
        <v>250271.1</v>
      </c>
      <c r="E6" s="3">
        <f>D6/D148*100</f>
        <v>36.39547728551115</v>
      </c>
      <c r="F6" s="3">
        <f>D6/B6*100</f>
        <v>94.55278320657466</v>
      </c>
      <c r="G6" s="3">
        <f aca="true" t="shared" si="0" ref="G6:G43">D6/C6*100</f>
        <v>68.90932820101932</v>
      </c>
      <c r="H6" s="3">
        <f>B6-D6</f>
        <v>14418.199999999983</v>
      </c>
      <c r="I6" s="3">
        <f aca="true" t="shared" si="1" ref="I6:I43">C6-D6</f>
        <v>112917.89999999994</v>
      </c>
    </row>
    <row r="7" spans="1:9" s="44" customFormat="1" ht="18.75">
      <c r="A7" s="117" t="s">
        <v>105</v>
      </c>
      <c r="B7" s="109">
        <v>132170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</f>
        <v>126091.80000000002</v>
      </c>
      <c r="E7" s="107">
        <f>D7/D6*100</f>
        <v>50.38208566630347</v>
      </c>
      <c r="F7" s="107">
        <f>D7/B7*100</f>
        <v>95.40122569418175</v>
      </c>
      <c r="G7" s="107">
        <f>D7/C7*100</f>
        <v>72.49304918349468</v>
      </c>
      <c r="H7" s="107">
        <f>B7-D7</f>
        <v>6078.1999999999825</v>
      </c>
      <c r="I7" s="107">
        <f t="shared" si="1"/>
        <v>47844.59999999998</v>
      </c>
    </row>
    <row r="8" spans="1:9" ht="18">
      <c r="A8" s="29" t="s">
        <v>3</v>
      </c>
      <c r="B8" s="49">
        <f>200229.4+21.4+50.9</f>
        <v>200301.69999999998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</f>
        <v>196731.29999999996</v>
      </c>
      <c r="E8" s="1">
        <f>D8/D6*100</f>
        <v>78.60727826744677</v>
      </c>
      <c r="F8" s="1">
        <f>D8/B8*100</f>
        <v>98.21748891796723</v>
      </c>
      <c r="G8" s="1">
        <f t="shared" si="0"/>
        <v>71.42336424948962</v>
      </c>
      <c r="H8" s="1">
        <f>B8-D8</f>
        <v>3570.4000000000233</v>
      </c>
      <c r="I8" s="1">
        <f t="shared" si="1"/>
        <v>78712.60000000006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0.3+0.2+0.7+0.8+2+0.3+3.5+1.2+0.3+0.4+0.8+0.2+2.9+0.6+1.3+0.5</f>
        <v>16</v>
      </c>
      <c r="E9" s="12">
        <f>D9/D6*100</f>
        <v>0.006393067357757248</v>
      </c>
      <c r="F9" s="135">
        <f>D9/B9*100</f>
        <v>44.56824512534819</v>
      </c>
      <c r="G9" s="1">
        <f t="shared" si="0"/>
        <v>35.39823008849557</v>
      </c>
      <c r="H9" s="1">
        <f aca="true" t="shared" si="2" ref="H9:H43">B9-D9</f>
        <v>19.9</v>
      </c>
      <c r="I9" s="1">
        <f t="shared" si="1"/>
        <v>29.200000000000003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+228+135.2+95.9</f>
        <v>12847.199999999999</v>
      </c>
      <c r="E10" s="1">
        <f>D10/D6*100</f>
        <v>5.133313434911182</v>
      </c>
      <c r="F10" s="1">
        <f aca="true" t="shared" si="3" ref="F10:F41">D10/B10*100</f>
        <v>83.75131195525334</v>
      </c>
      <c r="G10" s="1">
        <f t="shared" si="0"/>
        <v>58.10688569671093</v>
      </c>
      <c r="H10" s="1">
        <f t="shared" si="2"/>
        <v>2492.500000000002</v>
      </c>
      <c r="I10" s="1">
        <f t="shared" si="1"/>
        <v>9262.4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+1.3+61.6+322.5+6</f>
        <v>37839.3</v>
      </c>
      <c r="E11" s="1">
        <f>D11/D6*100</f>
        <v>15.11932460439899</v>
      </c>
      <c r="F11" s="1">
        <f t="shared" si="3"/>
        <v>83.76567314844331</v>
      </c>
      <c r="G11" s="1">
        <f t="shared" si="0"/>
        <v>61.62160313585503</v>
      </c>
      <c r="H11" s="1">
        <f t="shared" si="2"/>
        <v>7333.5</v>
      </c>
      <c r="I11" s="1">
        <f t="shared" si="1"/>
        <v>23566.59999999999</v>
      </c>
    </row>
    <row r="12" spans="1:9" ht="18">
      <c r="A12" s="29" t="s">
        <v>15</v>
      </c>
      <c r="B12" s="49">
        <f>248.6-21.4</f>
        <v>227.2</v>
      </c>
      <c r="C12" s="50">
        <f>286.2+9.9-21.4</f>
        <v>274.7</v>
      </c>
      <c r="D12" s="51">
        <f>3.8+3.8+12.7+7.4+5+16.3+3.8+110.9+3.8+1.2+5.4+9.9+1.2+1.2+9.1+1.2</f>
        <v>196.69999999999996</v>
      </c>
      <c r="E12" s="1">
        <f>D12/D6*100</f>
        <v>0.07859477182942816</v>
      </c>
      <c r="F12" s="1">
        <f t="shared" si="3"/>
        <v>86.5757042253521</v>
      </c>
      <c r="G12" s="1">
        <f t="shared" si="0"/>
        <v>71.60538769566799</v>
      </c>
      <c r="H12" s="1">
        <f t="shared" si="2"/>
        <v>30.50000000000003</v>
      </c>
      <c r="I12" s="1">
        <f t="shared" si="1"/>
        <v>78.00000000000003</v>
      </c>
    </row>
    <row r="13" spans="1:9" ht="18.75" thickBot="1">
      <c r="A13" s="29" t="s">
        <v>34</v>
      </c>
      <c r="B13" s="50">
        <f>B6-B8-B9-B10-B11-B12</f>
        <v>3611.9999999999973</v>
      </c>
      <c r="C13" s="50">
        <f>C6-C8-C9-C10-C11-C12</f>
        <v>3909.699999999936</v>
      </c>
      <c r="D13" s="50">
        <f>D6-D8-D9-D10-D11-D12</f>
        <v>2640.6000000000467</v>
      </c>
      <c r="E13" s="1">
        <f>D13/D6*100</f>
        <v>1.0550958540558806</v>
      </c>
      <c r="F13" s="1">
        <f t="shared" si="3"/>
        <v>73.10631229236016</v>
      </c>
      <c r="G13" s="1">
        <f t="shared" si="0"/>
        <v>67.53970892907614</v>
      </c>
      <c r="H13" s="1">
        <f t="shared" si="2"/>
        <v>971.3999999999505</v>
      </c>
      <c r="I13" s="1">
        <f t="shared" si="1"/>
        <v>1269.0999999998894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175932.3+229.6</f>
        <v>176161.9</v>
      </c>
      <c r="C18" s="53">
        <f>225678.2+490.7+518-0.1+17926+229.6</f>
        <v>244842.40000000002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</f>
        <v>170830.09999999995</v>
      </c>
      <c r="E18" s="3">
        <f>D18/D148*100</f>
        <v>24.84283252933158</v>
      </c>
      <c r="F18" s="3">
        <f>D18/B18*100</f>
        <v>96.9733523537155</v>
      </c>
      <c r="G18" s="3">
        <f t="shared" si="0"/>
        <v>69.77145298363354</v>
      </c>
      <c r="H18" s="3">
        <f>B18-D18</f>
        <v>5331.800000000047</v>
      </c>
      <c r="I18" s="3">
        <f t="shared" si="1"/>
        <v>74012.30000000008</v>
      </c>
    </row>
    <row r="19" spans="1:9" s="44" customFormat="1" ht="18.75">
      <c r="A19" s="117" t="s">
        <v>106</v>
      </c>
      <c r="B19" s="109">
        <v>151067.9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+27</f>
        <v>148886.9</v>
      </c>
      <c r="E19" s="107">
        <f>D19/D18*100</f>
        <v>87.15495688406203</v>
      </c>
      <c r="F19" s="107">
        <f t="shared" si="3"/>
        <v>98.55627833576823</v>
      </c>
      <c r="G19" s="107">
        <f t="shared" si="0"/>
        <v>79.82390016684609</v>
      </c>
      <c r="H19" s="107">
        <f t="shared" si="2"/>
        <v>2181</v>
      </c>
      <c r="I19" s="107">
        <f t="shared" si="1"/>
        <v>37632.30000000002</v>
      </c>
    </row>
    <row r="20" spans="1:9" ht="18">
      <c r="A20" s="29" t="s">
        <v>5</v>
      </c>
      <c r="B20" s="49">
        <f>139358.4+219.6</f>
        <v>139578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80.27115830289863</v>
      </c>
      <c r="F20" s="1">
        <f t="shared" si="3"/>
        <v>98.24420753987017</v>
      </c>
      <c r="G20" s="1">
        <f t="shared" si="0"/>
        <v>71.84137690039194</v>
      </c>
      <c r="H20" s="1">
        <f t="shared" si="2"/>
        <v>2450.7000000000116</v>
      </c>
      <c r="I20" s="1">
        <f t="shared" si="1"/>
        <v>53747.80000000002</v>
      </c>
    </row>
    <row r="21" spans="1:9" ht="18">
      <c r="A21" s="29" t="s">
        <v>2</v>
      </c>
      <c r="B21" s="49">
        <f>9524.9+172.1+85.8</f>
        <v>9782.8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+128.5+183+523.2+211.3</f>
        <v>8037.799999999999</v>
      </c>
      <c r="E21" s="1">
        <f>D21/D18*100</f>
        <v>4.705142711969379</v>
      </c>
      <c r="F21" s="1">
        <f t="shared" si="3"/>
        <v>82.16257104305515</v>
      </c>
      <c r="G21" s="1">
        <f t="shared" si="0"/>
        <v>61.03391194739319</v>
      </c>
      <c r="H21" s="1">
        <f t="shared" si="2"/>
        <v>1745</v>
      </c>
      <c r="I21" s="1">
        <f t="shared" si="1"/>
        <v>5131.6</v>
      </c>
    </row>
    <row r="22" spans="1:9" ht="18">
      <c r="A22" s="29" t="s">
        <v>1</v>
      </c>
      <c r="B22" s="49">
        <f>2450.6+30</f>
        <v>2480.6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</f>
        <v>2474.1999999999994</v>
      </c>
      <c r="E22" s="1">
        <f>D22/D18*100</f>
        <v>1.4483396075984267</v>
      </c>
      <c r="F22" s="1">
        <f t="shared" si="3"/>
        <v>99.74199790373295</v>
      </c>
      <c r="G22" s="1">
        <f t="shared" si="0"/>
        <v>76.05200872959762</v>
      </c>
      <c r="H22" s="1">
        <f t="shared" si="2"/>
        <v>6.400000000000546</v>
      </c>
      <c r="I22" s="1">
        <f t="shared" si="1"/>
        <v>779.1000000000008</v>
      </c>
    </row>
    <row r="23" spans="1:9" ht="18">
      <c r="A23" s="29" t="s">
        <v>0</v>
      </c>
      <c r="B23" s="49">
        <f>15199.7-204.8</f>
        <v>14994.900000000001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8.590991868529025</v>
      </c>
      <c r="F23" s="1">
        <f t="shared" si="3"/>
        <v>97.8732769141508</v>
      </c>
      <c r="G23" s="1">
        <f t="shared" si="0"/>
        <v>57.276665495843574</v>
      </c>
      <c r="H23" s="1">
        <f t="shared" si="2"/>
        <v>318.9000000000033</v>
      </c>
      <c r="I23" s="1">
        <f t="shared" si="1"/>
        <v>10947.000000000002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111+58.1+166.1+55.7+24.9+10.1-0.1+89.8+44.2+0.1+106.9+106.7+78.8+27.8+48.4+56.6+13.9</f>
        <v>998.9999999999999</v>
      </c>
      <c r="E24" s="1">
        <f>D24/D18*100</f>
        <v>0.5847915560548171</v>
      </c>
      <c r="F24" s="1">
        <f t="shared" si="3"/>
        <v>96.3820549927641</v>
      </c>
      <c r="G24" s="1">
        <f t="shared" si="0"/>
        <v>65.37530266343825</v>
      </c>
      <c r="H24" s="1">
        <f t="shared" si="2"/>
        <v>37.500000000000114</v>
      </c>
      <c r="I24" s="1">
        <f t="shared" si="1"/>
        <v>529.1</v>
      </c>
    </row>
    <row r="25" spans="1:9" ht="18.75" thickBot="1">
      <c r="A25" s="29" t="s">
        <v>34</v>
      </c>
      <c r="B25" s="50">
        <f>B18-B20-B21-B22-B23-B24</f>
        <v>8289.099999999995</v>
      </c>
      <c r="C25" s="50">
        <f>C18-C20-C21-C22-C23-C24</f>
        <v>10393.500000000013</v>
      </c>
      <c r="D25" s="50">
        <f>D18-D20-D21-D22-D23-D24</f>
        <v>7515.799999999961</v>
      </c>
      <c r="E25" s="1">
        <f>D25/D18*100</f>
        <v>4.399575952949722</v>
      </c>
      <c r="F25" s="1">
        <f t="shared" si="3"/>
        <v>90.67088103654154</v>
      </c>
      <c r="G25" s="1">
        <f t="shared" si="0"/>
        <v>72.31250300668641</v>
      </c>
      <c r="H25" s="1">
        <f t="shared" si="2"/>
        <v>773.3000000000338</v>
      </c>
      <c r="I25" s="1">
        <f t="shared" si="1"/>
        <v>2877.7000000000517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33729.2+99.9</f>
        <v>33829.1</v>
      </c>
      <c r="C33" s="53">
        <f>41831.7+164.1+250.5+5+2544.6+99.9</f>
        <v>44895.799999999996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</f>
        <v>31945.799999999996</v>
      </c>
      <c r="E33" s="3">
        <f>D33/D148*100</f>
        <v>4.6456927638368235</v>
      </c>
      <c r="F33" s="3">
        <f>D33/B33*100</f>
        <v>94.43289948594553</v>
      </c>
      <c r="G33" s="3">
        <f t="shared" si="0"/>
        <v>71.15543102027361</v>
      </c>
      <c r="H33" s="3">
        <f t="shared" si="2"/>
        <v>1883.300000000003</v>
      </c>
      <c r="I33" s="3">
        <f t="shared" si="1"/>
        <v>12950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</f>
        <v>23336.500000000004</v>
      </c>
      <c r="E34" s="1">
        <f>D34/D33*100</f>
        <v>73.05029143111148</v>
      </c>
      <c r="F34" s="1">
        <f t="shared" si="3"/>
        <v>95.53215790141601</v>
      </c>
      <c r="G34" s="1">
        <f t="shared" si="0"/>
        <v>72.53893257903081</v>
      </c>
      <c r="H34" s="1">
        <f t="shared" si="2"/>
        <v>1091.3999999999978</v>
      </c>
      <c r="I34" s="1">
        <f t="shared" si="1"/>
        <v>8834.499999999996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</f>
        <v>1283.3000000000002</v>
      </c>
      <c r="E36" s="1">
        <f>D36/D33*100</f>
        <v>4.017116491056728</v>
      </c>
      <c r="F36" s="1">
        <f t="shared" si="3"/>
        <v>77.04268475715917</v>
      </c>
      <c r="G36" s="1">
        <f t="shared" si="0"/>
        <v>47.99177262528049</v>
      </c>
      <c r="H36" s="1">
        <f t="shared" si="2"/>
        <v>382.39999999999986</v>
      </c>
      <c r="I36" s="1">
        <f t="shared" si="1"/>
        <v>1390.6999999999998</v>
      </c>
    </row>
    <row r="37" spans="1:9" s="44" customFormat="1" ht="18.75">
      <c r="A37" s="23" t="s">
        <v>7</v>
      </c>
      <c r="B37" s="58">
        <f>477.3+99.9</f>
        <v>577.2</v>
      </c>
      <c r="C37" s="59">
        <f>493.5+22+99.9</f>
        <v>615.4</v>
      </c>
      <c r="D37" s="60">
        <f>19+12.3+0.1+11.9+3.2+10.7+22.4+14.8+37.3+30.8+8.3+7.2+2+25.1+13.4+51+75.3+5+2.8+24.5+38+3.4+3</f>
        <v>421.5</v>
      </c>
      <c r="E37" s="19">
        <f>D37/D33*100</f>
        <v>1.3194222714723063</v>
      </c>
      <c r="F37" s="19">
        <f t="shared" si="3"/>
        <v>73.02494802494802</v>
      </c>
      <c r="G37" s="19">
        <f t="shared" si="0"/>
        <v>68.49203769905753</v>
      </c>
      <c r="H37" s="19">
        <f t="shared" si="2"/>
        <v>155.70000000000005</v>
      </c>
      <c r="I37" s="19">
        <f t="shared" si="1"/>
        <v>193.89999999999998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0.05321513313174189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7121.299999999997</v>
      </c>
      <c r="C39" s="49">
        <f>C33-C34-C36-C37-C35-C38</f>
        <v>9388.199999999995</v>
      </c>
      <c r="D39" s="49">
        <f>D33-D34-D36-D37-D35-D38</f>
        <v>6887.499999999992</v>
      </c>
      <c r="E39" s="1">
        <f>D39/D33*100</f>
        <v>21.559954673227757</v>
      </c>
      <c r="F39" s="1">
        <f t="shared" si="3"/>
        <v>96.7168915787847</v>
      </c>
      <c r="G39" s="1">
        <f t="shared" si="0"/>
        <v>73.36337104024196</v>
      </c>
      <c r="H39" s="1">
        <f>B39-D39</f>
        <v>233.80000000000564</v>
      </c>
      <c r="I39" s="1">
        <f t="shared" si="1"/>
        <v>2500.7000000000035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622.6+3</f>
        <v>625.6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D43/D148*100</f>
        <v>0.08209196718147259</v>
      </c>
      <c r="F43" s="3">
        <f>D43/B43*100</f>
        <v>90.23337595907928</v>
      </c>
      <c r="G43" s="3">
        <f t="shared" si="0"/>
        <v>68.68232145029809</v>
      </c>
      <c r="H43" s="3">
        <f t="shared" si="2"/>
        <v>61.10000000000002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5324.1+17.8</f>
        <v>5341.900000000001</v>
      </c>
      <c r="C45" s="53">
        <f>6659.3+87.1+1.5+764.6+17.8</f>
        <v>7530.300000000001</v>
      </c>
      <c r="D45" s="54">
        <f>193+223+8.7+101.1+200.9+9+241+299.2+7.6+43.6+283.1+0.8+48.7+276.1+3.4+2.2+253.5+5+282+1.9+4.8+3.2+261.3+0.5+265.1+0.7+6.9+276.6+1.6+124.9+209.3+1.9+2.9+4.7+268.2+52.2+128+106.4+2.5+2.2+206.7+137.5+253.2+11.2+1.2+355.4</f>
        <v>5172.899999999998</v>
      </c>
      <c r="E45" s="3">
        <f>D45/D148*100</f>
        <v>0.7522649017414338</v>
      </c>
      <c r="F45" s="3">
        <f>D45/B45*100</f>
        <v>96.8363316422995</v>
      </c>
      <c r="G45" s="3">
        <f aca="true" t="shared" si="4" ref="G45:G75">D45/C45*100</f>
        <v>68.69447432373208</v>
      </c>
      <c r="H45" s="3">
        <f>B45-D45</f>
        <v>169.00000000000273</v>
      </c>
      <c r="I45" s="3">
        <f aca="true" t="shared" si="5" ref="I45:I76">C45-D45</f>
        <v>2357.4000000000033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193+222.7+1.6+196.4+240.9+0.1+199.7+265.9+214+253.1+238.6+255.9+243.9+273.5+83.6+206+267.9+52.2+106.2+102.2+205.5+137.5+232.3+354.4</f>
        <v>4547.099999999999</v>
      </c>
      <c r="E46" s="1">
        <f>D46/D45*100</f>
        <v>87.90233718030508</v>
      </c>
      <c r="F46" s="1">
        <f aca="true" t="shared" si="6" ref="F46:F73">D46/B46*100</f>
        <v>97.81023467917142</v>
      </c>
      <c r="G46" s="1">
        <f t="shared" si="4"/>
        <v>69.73544973544973</v>
      </c>
      <c r="H46" s="1">
        <f aca="true" t="shared" si="7" ref="H46:H73">B46-D46</f>
        <v>101.80000000000018</v>
      </c>
      <c r="I46" s="1">
        <f t="shared" si="5"/>
        <v>1973.4000000000005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0.019331516170813287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0.6514720949564078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4.7+90.3+4.8+67.1+3.1+1.1+45.6+36.3+2.7+2+0.1+34.4+3.4+0.5+2.5+1.1+0.5+0.5+1.4+1.1+0.5+1.9+0.9+0.4+1.5+1.2</f>
        <v>309.59999999999985</v>
      </c>
      <c r="E49" s="1">
        <f>D49/D45*100</f>
        <v>5.985037406483791</v>
      </c>
      <c r="F49" s="1">
        <f t="shared" si="6"/>
        <v>95.79207920792075</v>
      </c>
      <c r="G49" s="1">
        <f t="shared" si="4"/>
        <v>57.51439717629573</v>
      </c>
      <c r="H49" s="1">
        <f t="shared" si="7"/>
        <v>13.600000000000136</v>
      </c>
      <c r="I49" s="1">
        <f t="shared" si="5"/>
        <v>228.7000000000001</v>
      </c>
    </row>
    <row r="50" spans="1:9" ht="18.75" thickBot="1">
      <c r="A50" s="29" t="s">
        <v>34</v>
      </c>
      <c r="B50" s="50">
        <f>B45-B46-B49-B48-B47</f>
        <v>327.3000000000009</v>
      </c>
      <c r="C50" s="50">
        <f>C45-C46-C49-C48-C47</f>
        <v>410.10000000000116</v>
      </c>
      <c r="D50" s="50">
        <f>D45-D46-D49-D48-D47</f>
        <v>281.4999999999985</v>
      </c>
      <c r="E50" s="1">
        <f>D50/D45*100</f>
        <v>5.441821802083911</v>
      </c>
      <c r="F50" s="1">
        <f t="shared" si="6"/>
        <v>86.00672166208302</v>
      </c>
      <c r="G50" s="1">
        <f t="shared" si="4"/>
        <v>68.6417946842228</v>
      </c>
      <c r="H50" s="1">
        <f t="shared" si="7"/>
        <v>45.8000000000024</v>
      </c>
      <c r="I50" s="1">
        <f t="shared" si="5"/>
        <v>128.60000000000264</v>
      </c>
    </row>
    <row r="51" spans="1:9" ht="18.75" thickBot="1">
      <c r="A51" s="28" t="s">
        <v>4</v>
      </c>
      <c r="B51" s="52">
        <f>10803.3+12.5+26.8</f>
        <v>10842.599999999999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</f>
        <v>9943.300000000003</v>
      </c>
      <c r="E51" s="3">
        <f>D51/D148*100</f>
        <v>1.4459965585040506</v>
      </c>
      <c r="F51" s="3">
        <f>D51/B51*100</f>
        <v>91.70586390718097</v>
      </c>
      <c r="G51" s="3">
        <f t="shared" si="4"/>
        <v>66.03202220702205</v>
      </c>
      <c r="H51" s="3">
        <f>B51-D51</f>
        <v>899.2999999999956</v>
      </c>
      <c r="I51" s="3">
        <f t="shared" si="5"/>
        <v>5114.999999999998</v>
      </c>
    </row>
    <row r="52" spans="1:9" ht="18">
      <c r="A52" s="29" t="s">
        <v>3</v>
      </c>
      <c r="B52" s="49">
        <f>6690.7+16.9</f>
        <v>6707.599999999999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66.30897187050576</v>
      </c>
      <c r="F52" s="1">
        <f t="shared" si="6"/>
        <v>98.29596278847875</v>
      </c>
      <c r="G52" s="1">
        <f t="shared" si="4"/>
        <v>69.87018492025645</v>
      </c>
      <c r="H52" s="1">
        <f t="shared" si="7"/>
        <v>114.29999999999927</v>
      </c>
      <c r="I52" s="1">
        <f t="shared" si="5"/>
        <v>2843.2</v>
      </c>
    </row>
    <row r="53" spans="1:9" ht="18">
      <c r="A53" s="29" t="s">
        <v>2</v>
      </c>
      <c r="B53" s="49">
        <v>4.3</v>
      </c>
      <c r="C53" s="50">
        <v>10.9</v>
      </c>
      <c r="D53" s="51">
        <f>1.4</f>
        <v>1.4</v>
      </c>
      <c r="E53" s="1">
        <f>D53/D51*100</f>
        <v>0.014079832651131913</v>
      </c>
      <c r="F53" s="1">
        <f t="shared" si="6"/>
        <v>32.558139534883715</v>
      </c>
      <c r="G53" s="1">
        <f t="shared" si="4"/>
        <v>12.844036697247704</v>
      </c>
      <c r="H53" s="1">
        <f t="shared" si="7"/>
        <v>2.9</v>
      </c>
      <c r="I53" s="1">
        <f t="shared" si="5"/>
        <v>9.5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1.3395955065219793</v>
      </c>
      <c r="F54" s="1">
        <f t="shared" si="6"/>
        <v>71.57442235357337</v>
      </c>
      <c r="G54" s="1">
        <f t="shared" si="4"/>
        <v>50.51194539249148</v>
      </c>
      <c r="H54" s="1">
        <f t="shared" si="7"/>
        <v>52.89999999999998</v>
      </c>
      <c r="I54" s="1">
        <f t="shared" si="5"/>
        <v>130.49999999999997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4.266189293292971</v>
      </c>
      <c r="F55" s="1">
        <f t="shared" si="6"/>
        <v>95.39015066336859</v>
      </c>
      <c r="G55" s="1">
        <f t="shared" si="4"/>
        <v>59.704433497536954</v>
      </c>
      <c r="H55" s="1">
        <f t="shared" si="7"/>
        <v>20.499999999999886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3499.899999999999</v>
      </c>
      <c r="C56" s="50">
        <f>C51-C52-C55-C54-C53</f>
        <v>4636.700000000002</v>
      </c>
      <c r="D56" s="50">
        <f>D51-D52-D55-D54-D53</f>
        <v>2791.2000000000025</v>
      </c>
      <c r="E56" s="1">
        <f>D56/D51*100</f>
        <v>28.071163497028166</v>
      </c>
      <c r="F56" s="1">
        <f t="shared" si="6"/>
        <v>79.7508500242865</v>
      </c>
      <c r="G56" s="1">
        <f t="shared" si="4"/>
        <v>60.19798563633623</v>
      </c>
      <c r="H56" s="1">
        <f t="shared" si="7"/>
        <v>708.6999999999966</v>
      </c>
      <c r="I56" s="1">
        <f>C56-D56</f>
        <v>1845.499999999999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D58/D148*100</f>
        <v>0.469269386887323</v>
      </c>
      <c r="F58" s="3">
        <f>D58/B58*100</f>
        <v>79.97472056308705</v>
      </c>
      <c r="G58" s="3">
        <f t="shared" si="4"/>
        <v>57.3467211658077</v>
      </c>
      <c r="H58" s="3">
        <f>B58-D58</f>
        <v>808.0000000000009</v>
      </c>
      <c r="I58" s="3">
        <f t="shared" si="5"/>
        <v>2400.100000000001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95.89894445405778</v>
      </c>
      <c r="G59" s="1">
        <f t="shared" si="4"/>
        <v>70.72034709372807</v>
      </c>
      <c r="H59" s="1">
        <f t="shared" si="7"/>
        <v>47.40000000000009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82.3727671048197</v>
      </c>
      <c r="G61" s="1">
        <f t="shared" si="4"/>
        <v>52.58175559380379</v>
      </c>
      <c r="H61" s="1">
        <f t="shared" si="7"/>
        <v>52.299999999999955</v>
      </c>
      <c r="I61" s="1">
        <f t="shared" si="5"/>
        <v>220.39999999999998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69.28745752978897</v>
      </c>
      <c r="G62" s="1">
        <f t="shared" si="4"/>
        <v>46.862154901770396</v>
      </c>
      <c r="H62" s="1">
        <f t="shared" si="7"/>
        <v>641.8000000000002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67.3755186721985</v>
      </c>
      <c r="G63" s="1">
        <f t="shared" si="4"/>
        <v>63.27325864588372</v>
      </c>
      <c r="H63" s="1">
        <f t="shared" si="7"/>
        <v>62.9000000000014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337.8</v>
      </c>
      <c r="C68" s="53">
        <f>C69+C70</f>
        <v>391.90000000000003</v>
      </c>
      <c r="D68" s="54">
        <f>SUM(D69:D70)</f>
        <v>254.5</v>
      </c>
      <c r="E68" s="42">
        <f>D68/D148*100</f>
        <v>0.037010461731948226</v>
      </c>
      <c r="F68" s="111">
        <f>D68/B68*100</f>
        <v>75.34043812907045</v>
      </c>
      <c r="G68" s="3">
        <f t="shared" si="4"/>
        <v>64.94003572339882</v>
      </c>
      <c r="H68" s="3">
        <f>B68-D68</f>
        <v>83.30000000000001</v>
      </c>
      <c r="I68" s="3">
        <f t="shared" si="5"/>
        <v>137.40000000000003</v>
      </c>
    </row>
    <row r="69" spans="1:9" ht="18">
      <c r="A69" s="29" t="s">
        <v>8</v>
      </c>
      <c r="B69" s="49">
        <f>242.8+64.3</f>
        <v>307.1</v>
      </c>
      <c r="C69" s="50">
        <f>250.3-5+64.3</f>
        <v>309.6</v>
      </c>
      <c r="D69" s="51">
        <f>0.2+12.6+73.3+85.8+22+1.3+2.3+2.7+1.6+2.5+7.9-0.2+3.6+5.1+14.9+0.1+2.1+5.3</f>
        <v>243.1</v>
      </c>
      <c r="E69" s="1">
        <f>D69/D68*100</f>
        <v>95.5206286836935</v>
      </c>
      <c r="F69" s="1">
        <f t="shared" si="6"/>
        <v>79.1598827743406</v>
      </c>
      <c r="G69" s="1">
        <f t="shared" si="4"/>
        <v>78.5206718346253</v>
      </c>
      <c r="H69" s="1">
        <f t="shared" si="7"/>
        <v>64.00000000000003</v>
      </c>
      <c r="I69" s="1">
        <f t="shared" si="5"/>
        <v>66.50000000000003</v>
      </c>
    </row>
    <row r="70" spans="1:9" ht="18.75" thickBot="1">
      <c r="A70" s="29" t="s">
        <v>9</v>
      </c>
      <c r="B70" s="49">
        <f>106.9-76.2</f>
        <v>30.700000000000003</v>
      </c>
      <c r="C70" s="50">
        <f>242.8-42.9-28.6-11-78</f>
        <v>82.30000000000001</v>
      </c>
      <c r="D70" s="51">
        <f>7.4+0.2+3.8</f>
        <v>11.4</v>
      </c>
      <c r="E70" s="1">
        <f>D70/D69*100</f>
        <v>4.689428218839984</v>
      </c>
      <c r="F70" s="1">
        <f t="shared" si="6"/>
        <v>37.13355048859935</v>
      </c>
      <c r="G70" s="1">
        <f t="shared" si="4"/>
        <v>13.851761846901578</v>
      </c>
      <c r="H70" s="1">
        <f t="shared" si="7"/>
        <v>19.300000000000004</v>
      </c>
      <c r="I70" s="1">
        <f t="shared" si="5"/>
        <v>70.9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37262.4-137</f>
        <v>37125.4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</f>
        <v>34787.59999999999</v>
      </c>
      <c r="E89" s="3">
        <f>D89/D148*100</f>
        <v>5.058959287018946</v>
      </c>
      <c r="F89" s="3">
        <f aca="true" t="shared" si="10" ref="F89:F95">D89/B89*100</f>
        <v>93.70296346975383</v>
      </c>
      <c r="G89" s="3">
        <f t="shared" si="8"/>
        <v>68.84611959350477</v>
      </c>
      <c r="H89" s="3">
        <f aca="true" t="shared" si="11" ref="H89:H95">B89-D89</f>
        <v>2337.80000000001</v>
      </c>
      <c r="I89" s="3">
        <f t="shared" si="9"/>
        <v>15741.900000000009</v>
      </c>
    </row>
    <row r="90" spans="1:9" ht="18">
      <c r="A90" s="29" t="s">
        <v>3</v>
      </c>
      <c r="B90" s="49">
        <f>30669.9+4+1.5</f>
        <v>30675.4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</f>
        <v>30076.400000000005</v>
      </c>
      <c r="E90" s="1">
        <f>D90/D89*100</f>
        <v>86.45724338557422</v>
      </c>
      <c r="F90" s="1">
        <f t="shared" si="10"/>
        <v>98.04729522679412</v>
      </c>
      <c r="G90" s="1">
        <f t="shared" si="8"/>
        <v>72.78825955218247</v>
      </c>
      <c r="H90" s="1">
        <f t="shared" si="11"/>
        <v>598.9999999999964</v>
      </c>
      <c r="I90" s="1">
        <f t="shared" si="9"/>
        <v>11243.999999999996</v>
      </c>
    </row>
    <row r="91" spans="1:9" ht="18">
      <c r="A91" s="29" t="s">
        <v>32</v>
      </c>
      <c r="B91" s="49">
        <f>1511.3-4</f>
        <v>1507.3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</f>
        <v>1116.0999999999997</v>
      </c>
      <c r="E91" s="1">
        <f>D91/D89*100</f>
        <v>3.208327105060424</v>
      </c>
      <c r="F91" s="1">
        <f t="shared" si="10"/>
        <v>74.04630796788958</v>
      </c>
      <c r="G91" s="1">
        <f t="shared" si="8"/>
        <v>43.342006135684045</v>
      </c>
      <c r="H91" s="1">
        <f t="shared" si="11"/>
        <v>391.2000000000003</v>
      </c>
      <c r="I91" s="1">
        <f t="shared" si="9"/>
        <v>1459.0000000000002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4942.7</v>
      </c>
      <c r="C93" s="50">
        <f>C89-C90-C91-C92</f>
        <v>6633.999999999998</v>
      </c>
      <c r="D93" s="50">
        <f>D89-D90-D91-D92</f>
        <v>3595.0999999999867</v>
      </c>
      <c r="E93" s="1">
        <f>D93/D89*100</f>
        <v>10.33442950936537</v>
      </c>
      <c r="F93" s="1">
        <f t="shared" si="10"/>
        <v>72.7355493960788</v>
      </c>
      <c r="G93" s="1">
        <f>D93/C93*100</f>
        <v>54.19204100090425</v>
      </c>
      <c r="H93" s="1">
        <f t="shared" si="11"/>
        <v>1347.600000000013</v>
      </c>
      <c r="I93" s="1">
        <f>C93-D93</f>
        <v>3038.9000000000115</v>
      </c>
    </row>
    <row r="94" spans="1:9" ht="18.75">
      <c r="A94" s="121" t="s">
        <v>12</v>
      </c>
      <c r="B94" s="126">
        <f>41259.6+1544.7</f>
        <v>42804.299999999996</v>
      </c>
      <c r="C94" s="128">
        <f>48638.3+1900-424+424+830+1679.1</f>
        <v>53047.4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</f>
        <v>40530.20000000001</v>
      </c>
      <c r="E94" s="120">
        <f>D94/D148*100</f>
        <v>5.894072361839719</v>
      </c>
      <c r="F94" s="124">
        <f t="shared" si="10"/>
        <v>94.68721600399962</v>
      </c>
      <c r="G94" s="119">
        <f>D94/C94*100</f>
        <v>76.403744575606</v>
      </c>
      <c r="H94" s="125">
        <f t="shared" si="11"/>
        <v>2274.099999999984</v>
      </c>
      <c r="I94" s="120">
        <f>C94-D94</f>
        <v>12517.19999999999</v>
      </c>
    </row>
    <row r="95" spans="1:9" ht="18.75" thickBot="1">
      <c r="A95" s="122" t="s">
        <v>107</v>
      </c>
      <c r="B95" s="129">
        <v>3647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7.122836798239337</v>
      </c>
      <c r="F95" s="133">
        <f t="shared" si="10"/>
        <v>79.15821222922952</v>
      </c>
      <c r="G95" s="134">
        <f>D95/C95*100</f>
        <v>59.05250884693274</v>
      </c>
      <c r="H95" s="123">
        <f t="shared" si="11"/>
        <v>760.0999999999995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7361.1-56.2</f>
        <v>7304.900000000001</v>
      </c>
      <c r="C101" s="104">
        <f>6061.2+4589.8-16.4-3.1+0.1-234+3.8+1279.4-54.3</f>
        <v>11626.5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</f>
        <v>5378.5070000000005</v>
      </c>
      <c r="E101" s="25">
        <f>D101/D148*100</f>
        <v>0.7821651375187257</v>
      </c>
      <c r="F101" s="25">
        <f>D101/B101*100</f>
        <v>73.62875604046599</v>
      </c>
      <c r="G101" s="25">
        <f aca="true" t="shared" si="12" ref="G101:G146">D101/C101*100</f>
        <v>46.26075775168796</v>
      </c>
      <c r="H101" s="25">
        <f aca="true" t="shared" si="13" ref="H101:H106">B101-D101</f>
        <v>1926.393</v>
      </c>
      <c r="I101" s="25">
        <f aca="true" t="shared" si="14" ref="I101:I146">C101-D101</f>
        <v>6247.9929999999995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6357.2-56.2</f>
        <v>6301</v>
      </c>
      <c r="C103" s="51">
        <f>5036.9+4586-16.4-3.1+0.1-234-4.8+1279.4-54.3</f>
        <v>10589.800000000001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</f>
        <v>4899.7</v>
      </c>
      <c r="E103" s="1">
        <f>D103/D101*100</f>
        <v>91.09777118445695</v>
      </c>
      <c r="F103" s="1">
        <f aca="true" t="shared" si="15" ref="F103:F146">D103/B103*100</f>
        <v>77.76067290906205</v>
      </c>
      <c r="G103" s="1">
        <f t="shared" si="12"/>
        <v>46.26810704640313</v>
      </c>
      <c r="H103" s="1">
        <f t="shared" si="13"/>
        <v>1401.3000000000002</v>
      </c>
      <c r="I103" s="1">
        <f t="shared" si="14"/>
        <v>5690.100000000001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478.8070000000007</v>
      </c>
      <c r="E105" s="96">
        <f>D105/D101*100</f>
        <v>8.902228815543062</v>
      </c>
      <c r="F105" s="96">
        <f t="shared" si="15"/>
        <v>47.69469070624569</v>
      </c>
      <c r="G105" s="96">
        <f t="shared" si="12"/>
        <v>46.18568534773813</v>
      </c>
      <c r="H105" s="96">
        <f>B105-D105</f>
        <v>525.0929999999998</v>
      </c>
      <c r="I105" s="96">
        <f t="shared" si="14"/>
        <v>557.8929999999982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144998.4</v>
      </c>
      <c r="C106" s="93">
        <f>SUM(C107:C145)-C114-C118+C146-C137-C138-C108-C111-C121-C122-C135-C129</f>
        <v>177393.3</v>
      </c>
      <c r="D106" s="93">
        <f>SUM(D107:D145)-D114-D118+D146-D137-D138-D108-D111-D121-D122-D135-D129</f>
        <v>134737.99999999994</v>
      </c>
      <c r="E106" s="94">
        <f>D106/D148*100</f>
        <v>19.59416735889681</v>
      </c>
      <c r="F106" s="94">
        <f>D106/B106*100</f>
        <v>92.92378398658188</v>
      </c>
      <c r="G106" s="94">
        <f t="shared" si="12"/>
        <v>75.95439061114482</v>
      </c>
      <c r="H106" s="94">
        <f t="shared" si="13"/>
        <v>10260.400000000052</v>
      </c>
      <c r="I106" s="94">
        <f t="shared" si="14"/>
        <v>42655.30000000005</v>
      </c>
    </row>
    <row r="107" spans="1:9" ht="37.5">
      <c r="A107" s="34" t="s">
        <v>66</v>
      </c>
      <c r="B107" s="78">
        <f>1307.7+161.4</f>
        <v>1469.1000000000001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</f>
        <v>864.5000000000002</v>
      </c>
      <c r="E107" s="6">
        <f>D107/D106*100</f>
        <v>0.6416155798661111</v>
      </c>
      <c r="F107" s="6">
        <f t="shared" si="15"/>
        <v>58.84555169831871</v>
      </c>
      <c r="G107" s="6">
        <f t="shared" si="12"/>
        <v>44.0801550071385</v>
      </c>
      <c r="H107" s="6">
        <f aca="true" t="shared" si="16" ref="H107:H146">B107-D107</f>
        <v>604.5999999999999</v>
      </c>
      <c r="I107" s="6">
        <f t="shared" si="14"/>
        <v>1096.6999999999998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0.2997669551277295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5.3+5.3+0.5+1.7+6+6+6</f>
        <v>30.799999999999997</v>
      </c>
      <c r="E110" s="6">
        <f>D110/D106*100</f>
        <v>0.02285917855393431</v>
      </c>
      <c r="F110" s="6">
        <f t="shared" si="15"/>
        <v>44.96350364963504</v>
      </c>
      <c r="G110" s="6">
        <f t="shared" si="12"/>
        <v>36.406619385342786</v>
      </c>
      <c r="H110" s="6">
        <f t="shared" si="16"/>
        <v>37.7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5.5+5.4+5.5+5.5+5.5+5.5-0.1+2.7+0.1+2.7+5.5+5.5</f>
        <v>49.300000000000004</v>
      </c>
      <c r="E112" s="6">
        <f>D112/D106*100</f>
        <v>0.03658952930873252</v>
      </c>
      <c r="F112" s="6">
        <f t="shared" si="15"/>
        <v>97.62376237623764</v>
      </c>
      <c r="G112" s="6">
        <f t="shared" si="12"/>
        <v>73.1454005934718</v>
      </c>
      <c r="H112" s="6">
        <f t="shared" si="16"/>
        <v>1.1999999999999957</v>
      </c>
      <c r="I112" s="6">
        <f t="shared" si="14"/>
        <v>18.1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0.7407709777494105</v>
      </c>
      <c r="F113" s="6">
        <f t="shared" si="15"/>
        <v>87.52959747434889</v>
      </c>
      <c r="G113" s="6">
        <f t="shared" si="12"/>
        <v>65.1288743882545</v>
      </c>
      <c r="H113" s="6">
        <f t="shared" si="16"/>
        <v>142.1999999999997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0.02671852038771543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0.05685107393608338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199.6+4.8+37.1</f>
        <v>241.5</v>
      </c>
      <c r="D117" s="79">
        <f>1.6+18.3+17.8+0.8+2.2+4+0.6+16.7+3.7+3.6+16.7+3.4+1.3+16.7+2.9+0.8+16.7+0.1+0.8+1.3+16.7+3.7+1.1+1.1+3.7+16.7</f>
        <v>172.99999999999997</v>
      </c>
      <c r="E117" s="6">
        <f>D117/D106*100</f>
        <v>0.12839733408541024</v>
      </c>
      <c r="F117" s="6">
        <f t="shared" si="15"/>
        <v>98.51936218678814</v>
      </c>
      <c r="G117" s="6">
        <f t="shared" si="12"/>
        <v>71.63561076604553</v>
      </c>
      <c r="H117" s="6">
        <f t="shared" si="16"/>
        <v>2.6000000000000227</v>
      </c>
      <c r="I117" s="6">
        <f t="shared" si="14"/>
        <v>68.50000000000003</v>
      </c>
    </row>
    <row r="118" spans="1:9" s="39" customFormat="1" ht="18">
      <c r="A118" s="40" t="s">
        <v>53</v>
      </c>
      <c r="B118" s="81">
        <v>133.7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99.925205684368</v>
      </c>
      <c r="G118" s="1">
        <f t="shared" si="12"/>
        <v>71.1016498137307</v>
      </c>
      <c r="H118" s="1">
        <f t="shared" si="16"/>
        <v>0.09999999999999432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0.33271979693924525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1251-88+88</f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0.5981237661238852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f>70+88</f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1.601033116121659</v>
      </c>
      <c r="F123" s="6">
        <f t="shared" si="15"/>
        <v>99.55695034151745</v>
      </c>
      <c r="G123" s="6">
        <f t="shared" si="12"/>
        <v>73.52921126184471</v>
      </c>
      <c r="H123" s="6">
        <f t="shared" si="16"/>
        <v>9.599999999999909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0.09640932773233984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0.0014843622437619684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0.018554528047024604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f>748.2+60.1</f>
        <v>808.3000000000001</v>
      </c>
      <c r="C127" s="60">
        <f>101.4+27.9+634-0.2+60.1</f>
        <v>823.1999999999999</v>
      </c>
      <c r="D127" s="83">
        <f>3+3+4.9+21.9-0.1+12.2+1.6+6.9+7.8+0.7+8.4+2.4+5+2.4+0.1+5.6+2.4+0.1+5+2.4+578.6+30.5+2.4+19.2+2.4</f>
        <v>728.8000000000001</v>
      </c>
      <c r="E127" s="19">
        <f>D127/D106*100</f>
        <v>0.5409016016268613</v>
      </c>
      <c r="F127" s="6">
        <f t="shared" si="15"/>
        <v>90.16454286774712</v>
      </c>
      <c r="G127" s="6">
        <f t="shared" si="12"/>
        <v>88.53255587949467</v>
      </c>
      <c r="H127" s="6">
        <f t="shared" si="16"/>
        <v>79.5</v>
      </c>
      <c r="I127" s="6">
        <f t="shared" si="14"/>
        <v>94.39999999999986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8.7+23.6+6.2+5.1+38.5+4.6+4.8+8.6+12.9+2.8+0.1+16.3+3+2.5+6.2-0.2+39.7+9.9+9.5+37.2+8.4+10.6+4.5+4.6+8.4+6.1+57.4+4.4+6.7</f>
        <v>351.09999999999997</v>
      </c>
      <c r="E128" s="19">
        <f>D128/D106*100</f>
        <v>0.26057979189241354</v>
      </c>
      <c r="F128" s="6">
        <f t="shared" si="15"/>
        <v>61.231252179979066</v>
      </c>
      <c r="G128" s="6">
        <f t="shared" si="12"/>
        <v>54.01538461538461</v>
      </c>
      <c r="H128" s="6">
        <f t="shared" si="16"/>
        <v>222.3</v>
      </c>
      <c r="I128" s="6">
        <f t="shared" si="14"/>
        <v>298.90000000000003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0.028202882631477397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5.25" customHeight="1">
      <c r="A132" s="17" t="s">
        <v>119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120</v>
      </c>
      <c r="B133" s="80">
        <v>0</v>
      </c>
      <c r="C133" s="60">
        <v>3882.1</v>
      </c>
      <c r="D133" s="83"/>
      <c r="E133" s="19">
        <f>D133/D106*100</f>
        <v>0</v>
      </c>
      <c r="F133" s="13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3882.1</v>
      </c>
    </row>
    <row r="134" spans="1:9" s="2" customFormat="1" ht="37.5">
      <c r="A134" s="17" t="s">
        <v>108</v>
      </c>
      <c r="B134" s="80">
        <f>265.1+39.2</f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0.1541510190146804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f>64.2+30</f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f>737.6+12</f>
        <v>749.6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21.9+41.8+0.1+6.1+26+3.6+0.1+41-0.1+21.3+6.2+7.1+43.4+4.5+8.8+48.5+7.5+32.1+0.1+41.9+8.4+5.1+33.1+1.3+25.6+4.3+48.8+5.3+25.6+1.9+53.3-0.1+30.8+0.1+48.5+0.4+47.7+43.1</f>
        <v>745.1</v>
      </c>
      <c r="E136" s="19">
        <f>D136/D106*100</f>
        <v>0.5529991539135213</v>
      </c>
      <c r="F136" s="6">
        <f t="shared" si="15"/>
        <v>99.39967982924226</v>
      </c>
      <c r="G136" s="6">
        <f t="shared" si="12"/>
        <v>71.54104656745079</v>
      </c>
      <c r="H136" s="6">
        <f t="shared" si="16"/>
        <v>4.5</v>
      </c>
      <c r="I136" s="6">
        <f t="shared" si="14"/>
        <v>296.4</v>
      </c>
    </row>
    <row r="137" spans="1:9" s="39" customFormat="1" ht="18">
      <c r="A137" s="40" t="s">
        <v>53</v>
      </c>
      <c r="B137" s="81">
        <f>643.9+12</f>
        <v>655.9</v>
      </c>
      <c r="C137" s="51">
        <f>848.7+46.3</f>
        <v>895</v>
      </c>
      <c r="D137" s="82">
        <f>21.9+39.7+0.1+6.1+19+41-0.1+21.3+43.3+8.5+32.3+32.1+41.5+4.2+33.1+25.6+47+0.1+25.6+53.3+26.2+48.5+0.4+43.2+40.8</f>
        <v>654.7000000000002</v>
      </c>
      <c r="E137" s="1">
        <f>D137/D136*100</f>
        <v>87.86740034894646</v>
      </c>
      <c r="F137" s="1">
        <f aca="true" t="shared" si="17" ref="F137:F145">D137/B137*100</f>
        <v>99.8170452812929</v>
      </c>
      <c r="G137" s="1">
        <f t="shared" si="12"/>
        <v>73.15083798882684</v>
      </c>
      <c r="H137" s="1">
        <f t="shared" si="16"/>
        <v>1.199999999999818</v>
      </c>
      <c r="I137" s="1">
        <f t="shared" si="14"/>
        <v>240.29999999999984</v>
      </c>
    </row>
    <row r="138" spans="1:9" s="39" customFormat="1" ht="18">
      <c r="A138" s="29" t="s">
        <v>32</v>
      </c>
      <c r="B138" s="81">
        <v>22.4</v>
      </c>
      <c r="C138" s="51">
        <f>26.3+9.5</f>
        <v>35.8</v>
      </c>
      <c r="D138" s="82">
        <f>7+6+0.2+7.1+0.1+0.4+0.3+0.1+0.3+0.4+0.3</f>
        <v>22.2</v>
      </c>
      <c r="E138" s="1">
        <f>D138/D136*100</f>
        <v>2.9794658435109382</v>
      </c>
      <c r="F138" s="1">
        <f t="shared" si="17"/>
        <v>99.10714285714286</v>
      </c>
      <c r="G138" s="1">
        <f>D138/C138*100</f>
        <v>62.011173184357546</v>
      </c>
      <c r="H138" s="1">
        <f t="shared" si="16"/>
        <v>0.1999999999999993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0.14843622437619683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118</v>
      </c>
      <c r="B140" s="80">
        <f>427+500</f>
        <v>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8800</v>
      </c>
      <c r="C141" s="60">
        <f>6500-2076-424+9200+2300</f>
        <v>15500</v>
      </c>
      <c r="D141" s="83">
        <f>241.3+64.6+48.1+278.9+170.1+140.9+637.5+150.9+370.2+164.6+344.6+242.4+441.1+0.1+89.8+381.7</f>
        <v>3766.7999999999997</v>
      </c>
      <c r="E141" s="19">
        <f>D141/D106*100</f>
        <v>2.795647849901291</v>
      </c>
      <c r="F141" s="112">
        <f t="shared" si="17"/>
        <v>42.80454545454545</v>
      </c>
      <c r="G141" s="6">
        <f t="shared" si="12"/>
        <v>24.301935483870967</v>
      </c>
      <c r="H141" s="6">
        <f t="shared" si="16"/>
        <v>5033.200000000001</v>
      </c>
      <c r="I141" s="6">
        <f t="shared" si="14"/>
        <v>11733.2</v>
      </c>
    </row>
    <row r="142" spans="1:9" s="2" customFormat="1" ht="18.75">
      <c r="A142" s="23" t="s">
        <v>111</v>
      </c>
      <c r="B142" s="80">
        <f>3775.1+20</f>
        <v>3795.1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2.6782347964197197</v>
      </c>
      <c r="F142" s="112">
        <f t="shared" si="17"/>
        <v>95.08576849094887</v>
      </c>
      <c r="G142" s="6">
        <f t="shared" si="12"/>
        <v>70.16390892652291</v>
      </c>
      <c r="H142" s="6">
        <f t="shared" si="16"/>
        <v>186.49999999999955</v>
      </c>
      <c r="I142" s="6">
        <f t="shared" si="14"/>
        <v>1534.5</v>
      </c>
    </row>
    <row r="143" spans="1:9" s="2" customFormat="1" ht="18.75">
      <c r="A143" s="17" t="s">
        <v>114</v>
      </c>
      <c r="B143" s="80">
        <f>4188+2094</f>
        <v>6282</v>
      </c>
      <c r="C143" s="60">
        <v>8376</v>
      </c>
      <c r="D143" s="83">
        <f>2094+2094+2094</f>
        <v>6282</v>
      </c>
      <c r="E143" s="19">
        <f>D143/D106*100</f>
        <v>4.662381807656343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0.3994418797963457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f>99789.9-3797.9</f>
        <v>95992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71.24345025159943</v>
      </c>
      <c r="F145" s="6">
        <f t="shared" si="17"/>
        <v>100</v>
      </c>
      <c r="G145" s="6">
        <f t="shared" si="12"/>
        <v>91.49946763842114</v>
      </c>
      <c r="H145" s="6">
        <f t="shared" si="16"/>
        <v>0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16697.7</v>
      </c>
      <c r="C146" s="60">
        <v>22263.4</v>
      </c>
      <c r="D146" s="83">
        <f>1236.9+618.4+618.4+618.4+618.5+618.4+618.4+618.5+618.4+618.4+618.5+618.4+618.4+618.5+618.4+618.4+618.5+618.4+618.4+618.5+618.4+618.4+618.4+618.5+618.4</f>
        <v>16079.199999999995</v>
      </c>
      <c r="E146" s="19">
        <f>D146/D106*100</f>
        <v>11.933678694948718</v>
      </c>
      <c r="F146" s="6">
        <f t="shared" si="15"/>
        <v>96.29589703971202</v>
      </c>
      <c r="G146" s="6">
        <f t="shared" si="12"/>
        <v>72.22257157487174</v>
      </c>
      <c r="H146" s="6">
        <f t="shared" si="16"/>
        <v>618.5000000000055</v>
      </c>
      <c r="I146" s="6">
        <f t="shared" si="14"/>
        <v>6184.200000000006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153470.69999999998</v>
      </c>
      <c r="C147" s="84">
        <f>C43+C68+C71+C76+C78+C86+C101+C106+C99+C83+C97</f>
        <v>190723.5</v>
      </c>
      <c r="D147" s="60">
        <f>D43+D68+D71+D76+D78+D86+D101+D106+D99+D83+D97</f>
        <v>140935.50699999995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728300.1</v>
      </c>
      <c r="C148" s="54">
        <f>C6+C18+C33+C43+C51+C58+C68+C71+C76+C78+C86+C89+C94+C101+C106+C99+C83+C97+C45</f>
        <v>975443.2000000002</v>
      </c>
      <c r="D148" s="54">
        <f>D6+D18+D33+D43+D51+D58+D68+D71+D76+D78+D86+D89+D94+D101+D106+D99+D83+D97+D45</f>
        <v>687643.407</v>
      </c>
      <c r="E148" s="38">
        <v>100</v>
      </c>
      <c r="F148" s="3">
        <f>D148/B148*100</f>
        <v>94.41759063331175</v>
      </c>
      <c r="G148" s="3">
        <f aca="true" t="shared" si="18" ref="G148:G154">D148/C148*100</f>
        <v>70.49548420656373</v>
      </c>
      <c r="H148" s="3">
        <f aca="true" t="shared" si="19" ref="H148:H154">B148-D148</f>
        <v>40656.69299999997</v>
      </c>
      <c r="I148" s="3">
        <f aca="true" t="shared" si="20" ref="I148:I154">C148-D148</f>
        <v>287799.7930000002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408359.60000000003</v>
      </c>
      <c r="C149" s="67">
        <f>C8+C20+C34+C52+C59+C90+C114+C118+C46+C137+C129</f>
        <v>558492.2999999999</v>
      </c>
      <c r="D149" s="67">
        <f>D8+D20+D34+D52+D59+D90+D114+D118+D46+D137+D129</f>
        <v>400308.6</v>
      </c>
      <c r="E149" s="6">
        <f>D149/D148*100</f>
        <v>58.214562362553124</v>
      </c>
      <c r="F149" s="6">
        <f aca="true" t="shared" si="21" ref="F149:F160">D149/B149*100</f>
        <v>98.02845335336795</v>
      </c>
      <c r="G149" s="6">
        <f t="shared" si="18"/>
        <v>71.67665516606048</v>
      </c>
      <c r="H149" s="6">
        <f t="shared" si="19"/>
        <v>8051.000000000058</v>
      </c>
      <c r="I149" s="18">
        <f t="shared" si="20"/>
        <v>158183.69999999995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68690.2</v>
      </c>
      <c r="C150" s="68">
        <f>C11+C23+C36+C55+C61+C91+C49+C138+C108+C111+C95+C135</f>
        <v>99834</v>
      </c>
      <c r="D150" s="68">
        <f>D11+D23+D36+D55+D61+D91+D49+D138+D108+D111+D95+D135</f>
        <v>59285.2</v>
      </c>
      <c r="E150" s="6">
        <f>D150/D148*100</f>
        <v>8.62150344153594</v>
      </c>
      <c r="F150" s="6">
        <f t="shared" si="21"/>
        <v>86.30809052819761</v>
      </c>
      <c r="G150" s="6">
        <f t="shared" si="18"/>
        <v>59.383777069936095</v>
      </c>
      <c r="H150" s="6">
        <f t="shared" si="19"/>
        <v>9405</v>
      </c>
      <c r="I150" s="18">
        <f t="shared" si="20"/>
        <v>40548.8</v>
      </c>
      <c r="K150" s="46"/>
      <c r="L150" s="102"/>
    </row>
    <row r="151" spans="1:12" ht="18.75">
      <c r="A151" s="23" t="s">
        <v>1</v>
      </c>
      <c r="B151" s="67">
        <f>B22+B10+B54+B48+B60+B35+B102+B122</f>
        <v>18347.8</v>
      </c>
      <c r="C151" s="67">
        <f>C22+C10+C54+C48+C60+C35+C102+C122</f>
        <v>25986.7</v>
      </c>
      <c r="D151" s="67">
        <f>D22+D10+D54+D48+D60+D35+D102+D122</f>
        <v>15784.599999999999</v>
      </c>
      <c r="E151" s="6">
        <f>D151/D148*100</f>
        <v>2.295463002963104</v>
      </c>
      <c r="F151" s="6">
        <f t="shared" si="21"/>
        <v>86.0299327439802</v>
      </c>
      <c r="G151" s="6">
        <f t="shared" si="18"/>
        <v>60.741071394213186</v>
      </c>
      <c r="H151" s="6">
        <f t="shared" si="19"/>
        <v>2563.2000000000007</v>
      </c>
      <c r="I151" s="18">
        <f t="shared" si="20"/>
        <v>10202.100000000002</v>
      </c>
      <c r="K151" s="46"/>
      <c r="L151" s="47"/>
    </row>
    <row r="152" spans="1:12" ht="21" customHeight="1">
      <c r="A152" s="23" t="s">
        <v>15</v>
      </c>
      <c r="B152" s="67">
        <f>B12+B24+B103+B62+B38+B92</f>
        <v>9691.4</v>
      </c>
      <c r="C152" s="67">
        <f>C12+C24+C103+C62+C38+C92</f>
        <v>15529.500000000002</v>
      </c>
      <c r="D152" s="67">
        <f>D12+D24+D103+D62+D38+D92</f>
        <v>7560.299999999999</v>
      </c>
      <c r="E152" s="6">
        <f>D152/D148*100</f>
        <v>1.0994506633872227</v>
      </c>
      <c r="F152" s="6">
        <f t="shared" si="21"/>
        <v>78.01040097405946</v>
      </c>
      <c r="G152" s="6">
        <f t="shared" si="18"/>
        <v>48.68347338935573</v>
      </c>
      <c r="H152" s="6">
        <f t="shared" si="19"/>
        <v>2131.1000000000004</v>
      </c>
      <c r="I152" s="18">
        <f t="shared" si="20"/>
        <v>7969.200000000003</v>
      </c>
      <c r="K152" s="46"/>
      <c r="L152" s="102"/>
    </row>
    <row r="153" spans="1:12" ht="18.75">
      <c r="A153" s="23" t="s">
        <v>2</v>
      </c>
      <c r="B153" s="67">
        <f>B9+B21+B47+B53+B121</f>
        <v>9981.999999999998</v>
      </c>
      <c r="C153" s="67">
        <f>C9+C21+C47+C53+C121</f>
        <v>13384.7</v>
      </c>
      <c r="D153" s="67">
        <f>D9+D21+D47+D53+D121</f>
        <v>8126.199999999999</v>
      </c>
      <c r="E153" s="6">
        <f>D153/D148*100</f>
        <v>1.1817462244642736</v>
      </c>
      <c r="F153" s="6">
        <f t="shared" si="21"/>
        <v>81.40853536365458</v>
      </c>
      <c r="G153" s="6">
        <f t="shared" si="18"/>
        <v>60.712604690430105</v>
      </c>
      <c r="H153" s="6">
        <f t="shared" si="19"/>
        <v>1855.7999999999993</v>
      </c>
      <c r="I153" s="18">
        <f t="shared" si="20"/>
        <v>5258.500000000002</v>
      </c>
      <c r="K153" s="46"/>
      <c r="L153" s="47"/>
    </row>
    <row r="154" spans="1:12" ht="19.5" thickBot="1">
      <c r="A154" s="23" t="s">
        <v>34</v>
      </c>
      <c r="B154" s="67">
        <f>B148-B149-B150-B151-B152-B153</f>
        <v>213229.09999999995</v>
      </c>
      <c r="C154" s="67">
        <f>C148-C149-C150-C151-C152-C153</f>
        <v>262216.00000000023</v>
      </c>
      <c r="D154" s="67">
        <f>D148-D149-D150-D151-D152-D153</f>
        <v>196578.507</v>
      </c>
      <c r="E154" s="6">
        <f>D154/D148*100</f>
        <v>28.587274305096333</v>
      </c>
      <c r="F154" s="6">
        <f t="shared" si="21"/>
        <v>92.1912192097608</v>
      </c>
      <c r="G154" s="43">
        <f t="shared" si="18"/>
        <v>74.96815869359605</v>
      </c>
      <c r="H154" s="6">
        <f t="shared" si="19"/>
        <v>16650.592999999935</v>
      </c>
      <c r="I154" s="6">
        <f t="shared" si="20"/>
        <v>65637.49300000022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f>17766.1+3203.3</f>
        <v>20969.399999999998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288.1+1522.4+951.8+530.2+8.8+0.5+0.1+495.9+10.6+101+174.6+2.1+509.4+15+8.4+488.4+154.3+94.8+166.1+65.8+286.9+80.4+239.8+10.1+12.9+335.6+111.7+50.2+26.4+275.5+191.2+157.5+87.7+3.1+124.7+130.9+152.7+23.9+59+160.3+35.6</f>
        <v>8144.399999999999</v>
      </c>
      <c r="E156" s="15"/>
      <c r="F156" s="6">
        <f t="shared" si="21"/>
        <v>38.839451772582905</v>
      </c>
      <c r="G156" s="6">
        <f aca="true" t="shared" si="22" ref="G156:G165">D156/C156*100</f>
        <v>31.655537503595276</v>
      </c>
      <c r="H156" s="6">
        <f>B156-D156</f>
        <v>12825</v>
      </c>
      <c r="I156" s="6">
        <f aca="true" t="shared" si="23" ref="I156:I165">C156-D156</f>
        <v>17583.8</v>
      </c>
      <c r="K156" s="46"/>
      <c r="L156" s="46"/>
    </row>
    <row r="157" spans="1:12" ht="18.75">
      <c r="A157" s="23" t="s">
        <v>22</v>
      </c>
      <c r="B157" s="88">
        <f>14268.9+160+846</f>
        <v>15274.9</v>
      </c>
      <c r="C157" s="67">
        <f>16860.5-195+353.2+846</f>
        <v>17864.7</v>
      </c>
      <c r="D157" s="67">
        <f>132.1+649.5+498.6+2.9+146.5+119.3+11.1+935+701.6+2.9+12.3-0.1+18.6+43.3+39.7+94+282.1+33.2+9+121.6+250.9+78.8+80+13.6</f>
        <v>4276.5</v>
      </c>
      <c r="E157" s="6"/>
      <c r="F157" s="6">
        <f t="shared" si="21"/>
        <v>27.996909963404015</v>
      </c>
      <c r="G157" s="6">
        <f t="shared" si="22"/>
        <v>23.938269324421903</v>
      </c>
      <c r="H157" s="6">
        <f aca="true" t="shared" si="24" ref="H157:H164">B157-D157</f>
        <v>10998.4</v>
      </c>
      <c r="I157" s="6">
        <f t="shared" si="23"/>
        <v>13588.2</v>
      </c>
      <c r="K157" s="46"/>
      <c r="L157" s="46"/>
    </row>
    <row r="158" spans="1:12" ht="18.75">
      <c r="A158" s="23" t="s">
        <v>60</v>
      </c>
      <c r="B158" s="88">
        <f>196197.7-160+30159.4-2140-37856.7-150</f>
        <v>186050.40000000002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</f>
        <v>44642.800000000025</v>
      </c>
      <c r="E158" s="6"/>
      <c r="F158" s="6">
        <f t="shared" si="21"/>
        <v>23.99500350442677</v>
      </c>
      <c r="G158" s="6">
        <f t="shared" si="22"/>
        <v>21.95435609758258</v>
      </c>
      <c r="H158" s="6">
        <f t="shared" si="24"/>
        <v>141407.6</v>
      </c>
      <c r="I158" s="6">
        <f t="shared" si="23"/>
        <v>158700.9</v>
      </c>
      <c r="K158" s="46"/>
      <c r="L158" s="46"/>
    </row>
    <row r="159" spans="1:12" ht="37.5">
      <c r="A159" s="23" t="s">
        <v>69</v>
      </c>
      <c r="B159" s="88">
        <f>409.4+2140</f>
        <v>2549.4</v>
      </c>
      <c r="C159" s="67">
        <f>509.4+2140</f>
        <v>2649.4</v>
      </c>
      <c r="D159" s="67">
        <f>309.4+300</f>
        <v>609.4</v>
      </c>
      <c r="E159" s="6"/>
      <c r="F159" s="6">
        <f t="shared" si="21"/>
        <v>23.903663607123242</v>
      </c>
      <c r="G159" s="6">
        <f t="shared" si="22"/>
        <v>23.001434287008376</v>
      </c>
      <c r="H159" s="6">
        <f t="shared" si="24"/>
        <v>1940</v>
      </c>
      <c r="I159" s="6">
        <f t="shared" si="23"/>
        <v>2040</v>
      </c>
      <c r="K159" s="46"/>
      <c r="L159" s="46"/>
    </row>
    <row r="160" spans="1:12" ht="18.75">
      <c r="A160" s="23" t="s">
        <v>13</v>
      </c>
      <c r="B160" s="88">
        <v>13310.4</v>
      </c>
      <c r="C160" s="67">
        <f>54+13623.4</f>
        <v>13677.4</v>
      </c>
      <c r="D160" s="67">
        <f>5.2+5.1+225.1+114.9+40.2+5.2+4.6+89.9+13.6+4.1+10.7+98.5+1634+39+1.7-40.2+1.3+4.6+3.7+91</f>
        <v>2352.2000000000003</v>
      </c>
      <c r="E160" s="19"/>
      <c r="F160" s="6">
        <f t="shared" si="21"/>
        <v>17.671895660536123</v>
      </c>
      <c r="G160" s="6">
        <f t="shared" si="22"/>
        <v>17.197713015631628</v>
      </c>
      <c r="H160" s="6">
        <f t="shared" si="24"/>
        <v>10958.199999999999</v>
      </c>
      <c r="I160" s="6">
        <f t="shared" si="23"/>
        <v>11325.199999999999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971534.5000000001</v>
      </c>
      <c r="C165" s="90">
        <f>C148+C156+C160+C161+C157+C164+C163+C158+C162+C159</f>
        <v>1244103.6</v>
      </c>
      <c r="D165" s="90">
        <f>D148+D156+D160+D161+D157+D164+D163+D158+D162+D159</f>
        <v>751543.1070000001</v>
      </c>
      <c r="E165" s="25"/>
      <c r="F165" s="3">
        <f>D165/B165*100</f>
        <v>77.35629635386083</v>
      </c>
      <c r="G165" s="3">
        <f t="shared" si="22"/>
        <v>60.408402242385606</v>
      </c>
      <c r="H165" s="3">
        <f>B165-D165</f>
        <v>219991.39300000004</v>
      </c>
      <c r="I165" s="3">
        <f t="shared" si="23"/>
        <v>492560.493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5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687643.407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975443.2000000002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687643.407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2015-09-30T05:06:13Z</dcterms:modified>
  <cp:category/>
  <cp:version/>
  <cp:contentType/>
  <cp:contentStatus/>
</cp:coreProperties>
</file>